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41561e78729340/Colleges/GCU/MKT-607 Marketing Management/Wk 5 - Promotion and Advertising/"/>
    </mc:Choice>
  </mc:AlternateContent>
  <xr:revisionPtr revIDLastSave="101" documentId="10_ncr:100000_{D072EB50-96B1-4F12-BAD7-B8B21A46052F}" xr6:coauthVersionLast="40" xr6:coauthVersionMax="40" xr10:uidLastSave="{D0C2E32B-11D7-48BA-A60D-44AAE5853255}"/>
  <bookViews>
    <workbookView xWindow="0" yWindow="0" windowWidth="20490" windowHeight="6945" xr2:uid="{26B19A41-45D1-4E17-9320-F915300D9B65}"/>
  </bookViews>
  <sheets>
    <sheet name="Sheet1" sheetId="1" r:id="rId1"/>
  </sheet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E43" i="1"/>
  <c r="E44" i="1"/>
  <c r="H42" i="1"/>
  <c r="H43" i="1"/>
  <c r="H45" i="1"/>
  <c r="E45" i="1"/>
  <c r="E48" i="1"/>
  <c r="F48" i="1"/>
  <c r="I48" i="1"/>
  <c r="E49" i="1"/>
  <c r="F49" i="1"/>
  <c r="I49" i="1"/>
  <c r="E50" i="1"/>
  <c r="F50" i="1"/>
  <c r="I50" i="1"/>
  <c r="E51" i="1"/>
  <c r="F51" i="1"/>
  <c r="I51" i="1"/>
  <c r="E52" i="1"/>
  <c r="F52" i="1"/>
  <c r="I52" i="1"/>
  <c r="E53" i="1"/>
  <c r="F53" i="1"/>
  <c r="I53" i="1"/>
  <c r="E54" i="1"/>
  <c r="F54" i="1"/>
  <c r="I54" i="1"/>
  <c r="E15" i="1"/>
  <c r="E16" i="1"/>
  <c r="E17" i="1"/>
  <c r="H15" i="1"/>
  <c r="H16" i="1"/>
  <c r="H18" i="1"/>
  <c r="E18" i="1"/>
  <c r="E21" i="1"/>
  <c r="F21" i="1"/>
  <c r="I21" i="1"/>
  <c r="E22" i="1"/>
  <c r="F22" i="1"/>
  <c r="I22" i="1"/>
  <c r="E23" i="1"/>
  <c r="F23" i="1"/>
  <c r="I23" i="1"/>
  <c r="E24" i="1"/>
  <c r="F24" i="1"/>
  <c r="I24" i="1"/>
  <c r="E25" i="1"/>
  <c r="F25" i="1"/>
  <c r="I25" i="1"/>
  <c r="E26" i="1"/>
  <c r="F26" i="1"/>
  <c r="I26" i="1"/>
  <c r="E28" i="1"/>
  <c r="E31" i="1"/>
  <c r="C34" i="1"/>
  <c r="P34" i="1"/>
  <c r="E29" i="1"/>
  <c r="E30" i="1"/>
  <c r="H28" i="1"/>
  <c r="H29" i="1"/>
  <c r="H31" i="1"/>
  <c r="E34" i="1"/>
  <c r="E2" i="1"/>
  <c r="E5" i="1"/>
  <c r="E3" i="1"/>
  <c r="E4" i="1"/>
  <c r="H2" i="1"/>
  <c r="H3" i="1"/>
  <c r="H5" i="1"/>
  <c r="E8" i="1"/>
  <c r="E11" i="1"/>
  <c r="F11" i="1"/>
  <c r="L11" i="1"/>
  <c r="F8" i="1"/>
  <c r="L8" i="1"/>
  <c r="N8" i="1"/>
  <c r="C10" i="1"/>
  <c r="C13" i="1"/>
  <c r="C12" i="1"/>
  <c r="C11" i="1"/>
  <c r="C9" i="1"/>
  <c r="C8" i="1"/>
  <c r="C54" i="1"/>
  <c r="P54" i="1"/>
  <c r="C35" i="1"/>
  <c r="C36" i="1"/>
  <c r="C37" i="1"/>
  <c r="C38" i="1"/>
  <c r="C39" i="1"/>
  <c r="C40" i="1"/>
  <c r="C25" i="1"/>
  <c r="C26" i="1"/>
  <c r="C22" i="1"/>
  <c r="C23" i="1"/>
  <c r="C24" i="1"/>
  <c r="C21" i="1"/>
  <c r="Q21" i="1"/>
  <c r="Q24" i="1"/>
  <c r="Q22" i="1"/>
  <c r="Q34" i="1"/>
  <c r="R10" i="1"/>
  <c r="R39" i="1"/>
  <c r="C50" i="1"/>
  <c r="P50" i="1"/>
  <c r="O53" i="1"/>
  <c r="J53" i="1"/>
  <c r="P37" i="1"/>
  <c r="J39" i="1"/>
  <c r="O39" i="1"/>
  <c r="O54" i="1"/>
  <c r="J54" i="1"/>
  <c r="O52" i="1"/>
  <c r="J52" i="1"/>
  <c r="O51" i="1"/>
  <c r="J51" i="1"/>
  <c r="O50" i="1"/>
  <c r="J50" i="1"/>
  <c r="O49" i="1"/>
  <c r="J49" i="1"/>
  <c r="O48" i="1"/>
  <c r="J48" i="1"/>
  <c r="O40" i="1"/>
  <c r="J40" i="1"/>
  <c r="O38" i="1"/>
  <c r="J38" i="1"/>
  <c r="O37" i="1"/>
  <c r="J37" i="1"/>
  <c r="O36" i="1"/>
  <c r="J36" i="1"/>
  <c r="O35" i="1"/>
  <c r="J35" i="1"/>
  <c r="O34" i="1"/>
  <c r="J34" i="1"/>
  <c r="O26" i="1"/>
  <c r="J26" i="1"/>
  <c r="O25" i="1"/>
  <c r="J25" i="1"/>
  <c r="O24" i="1"/>
  <c r="J24" i="1"/>
  <c r="O23" i="1"/>
  <c r="J23" i="1"/>
  <c r="O22" i="1"/>
  <c r="J22" i="1"/>
  <c r="O21" i="1"/>
  <c r="J21" i="1"/>
  <c r="O13" i="1"/>
  <c r="J13" i="1"/>
  <c r="O12" i="1"/>
  <c r="J12" i="1"/>
  <c r="O11" i="1"/>
  <c r="J11" i="1"/>
  <c r="O10" i="1"/>
  <c r="J10" i="1"/>
  <c r="O9" i="1"/>
  <c r="J9" i="1"/>
  <c r="O8" i="1"/>
  <c r="J8" i="1"/>
  <c r="P21" i="1"/>
  <c r="R24" i="1"/>
  <c r="P25" i="1"/>
  <c r="C53" i="1"/>
  <c r="Q53" i="1"/>
  <c r="P40" i="1"/>
  <c r="Q12" i="1"/>
  <c r="R35" i="1"/>
  <c r="Q38" i="1"/>
  <c r="R36" i="1"/>
  <c r="P10" i="1"/>
  <c r="R12" i="1"/>
  <c r="Q10" i="1"/>
  <c r="P12" i="1"/>
  <c r="R22" i="1"/>
  <c r="P24" i="1"/>
  <c r="Q25" i="1"/>
  <c r="R21" i="1"/>
  <c r="P22" i="1"/>
  <c r="R34" i="1"/>
  <c r="P36" i="1"/>
  <c r="Q37" i="1"/>
  <c r="R40" i="1"/>
  <c r="P35" i="1"/>
  <c r="Q36" i="1"/>
  <c r="R37" i="1"/>
  <c r="P39" i="1"/>
  <c r="Q40" i="1"/>
  <c r="Q35" i="1"/>
  <c r="P38" i="1"/>
  <c r="Q39" i="1"/>
  <c r="C51" i="1"/>
  <c r="C48" i="1"/>
  <c r="C52" i="1"/>
  <c r="C49" i="1"/>
  <c r="Q50" i="1"/>
  <c r="P48" i="1"/>
  <c r="R50" i="1"/>
  <c r="R54" i="1"/>
  <c r="Q54" i="1"/>
  <c r="P53" i="1"/>
  <c r="R49" i="1"/>
  <c r="R52" i="1"/>
  <c r="R53" i="1"/>
  <c r="R48" i="1"/>
  <c r="R51" i="1"/>
  <c r="R55" i="1"/>
  <c r="Q51" i="1"/>
  <c r="R25" i="1"/>
  <c r="Q52" i="1"/>
  <c r="P52" i="1"/>
  <c r="Q48" i="1"/>
  <c r="R38" i="1"/>
  <c r="P51" i="1"/>
  <c r="R41" i="1"/>
  <c r="Q41" i="1"/>
  <c r="N11" i="1"/>
  <c r="E12" i="1"/>
  <c r="F12" i="1"/>
  <c r="E13" i="1"/>
  <c r="F13" i="1"/>
  <c r="I13" i="1"/>
  <c r="E10" i="1"/>
  <c r="F10" i="1"/>
  <c r="E9" i="1"/>
  <c r="F9" i="1"/>
  <c r="I9" i="1"/>
  <c r="Q8" i="1"/>
  <c r="P8" i="1"/>
  <c r="R8" i="1"/>
  <c r="P11" i="1"/>
  <c r="R11" i="1"/>
  <c r="Q11" i="1"/>
  <c r="R9" i="1"/>
  <c r="Q9" i="1"/>
  <c r="P9" i="1"/>
  <c r="R13" i="1"/>
  <c r="Q13" i="1"/>
  <c r="P13" i="1"/>
  <c r="Q26" i="1"/>
  <c r="P26" i="1"/>
  <c r="R26" i="1"/>
  <c r="R23" i="1"/>
  <c r="Q23" i="1"/>
  <c r="P23" i="1"/>
  <c r="P27" i="1"/>
  <c r="Q27" i="1"/>
  <c r="P41" i="1"/>
  <c r="Q49" i="1"/>
  <c r="Q55" i="1"/>
  <c r="P49" i="1"/>
  <c r="P55" i="1"/>
  <c r="F34" i="1"/>
  <c r="L34" i="1"/>
  <c r="N34" i="1"/>
  <c r="E38" i="1"/>
  <c r="F38" i="1"/>
  <c r="I38" i="1"/>
  <c r="E39" i="1"/>
  <c r="F39" i="1"/>
  <c r="E37" i="1"/>
  <c r="F37" i="1"/>
  <c r="I37" i="1"/>
  <c r="E36" i="1"/>
  <c r="F36" i="1"/>
  <c r="E40" i="1"/>
  <c r="F40" i="1"/>
  <c r="E35" i="1"/>
  <c r="F35" i="1"/>
  <c r="I35" i="1"/>
  <c r="L49" i="1"/>
  <c r="N49" i="1"/>
  <c r="I8" i="1"/>
  <c r="L13" i="1"/>
  <c r="N13" i="1"/>
  <c r="L48" i="1"/>
  <c r="N48" i="1"/>
  <c r="I34" i="1"/>
  <c r="R27" i="1"/>
  <c r="L23" i="1"/>
  <c r="N23" i="1"/>
  <c r="R14" i="1"/>
  <c r="L9" i="1"/>
  <c r="N9" i="1"/>
  <c r="L25" i="1"/>
  <c r="N25" i="1"/>
  <c r="L21" i="1"/>
  <c r="N21" i="1"/>
  <c r="I11" i="1"/>
  <c r="L38" i="1"/>
  <c r="N38" i="1"/>
  <c r="L24" i="1"/>
  <c r="N24" i="1"/>
  <c r="P14" i="1"/>
  <c r="L10" i="1"/>
  <c r="N10" i="1"/>
  <c r="I10" i="1"/>
  <c r="Q14" i="1"/>
  <c r="I12" i="1"/>
  <c r="L12" i="1"/>
  <c r="N12" i="1"/>
  <c r="L26" i="1"/>
  <c r="N26" i="1"/>
  <c r="L22" i="1"/>
  <c r="N22" i="1"/>
  <c r="L37" i="1"/>
  <c r="N37" i="1"/>
  <c r="L35" i="1"/>
  <c r="N35" i="1"/>
  <c r="L39" i="1"/>
  <c r="N39" i="1"/>
  <c r="I39" i="1"/>
  <c r="I40" i="1"/>
  <c r="L40" i="1"/>
  <c r="N40" i="1"/>
  <c r="I36" i="1"/>
  <c r="L36" i="1"/>
  <c r="N36" i="1"/>
  <c r="L54" i="1"/>
  <c r="N54" i="1"/>
  <c r="L53" i="1"/>
  <c r="N53" i="1"/>
  <c r="L50" i="1"/>
  <c r="N50" i="1"/>
  <c r="L52" i="1"/>
  <c r="N52" i="1"/>
  <c r="L51" i="1"/>
  <c r="N51" i="1"/>
</calcChain>
</file>

<file path=xl/sharedStrings.xml><?xml version="1.0" encoding="utf-8"?>
<sst xmlns="http://schemas.openxmlformats.org/spreadsheetml/2006/main" count="191" uniqueCount="52">
  <si>
    <t>3D CYCLE WORKS</t>
  </si>
  <si>
    <t>Quarter 5</t>
  </si>
  <si>
    <t>Salary and Training Costs per Quarter</t>
  </si>
  <si>
    <t>Design Costs R&amp;D</t>
  </si>
  <si>
    <t># of Stores</t>
  </si>
  <si>
    <t># of Sales Staff</t>
  </si>
  <si>
    <t>Projections</t>
  </si>
  <si>
    <t>Advertising Costs Quarterly per Unit</t>
  </si>
  <si>
    <t>POP Displays</t>
  </si>
  <si>
    <t># of Brands</t>
  </si>
  <si>
    <t>Previous staff plus 2 new employees per store.
New stores start with 7 staff.</t>
  </si>
  <si>
    <t>Internet Marketing</t>
  </si>
  <si>
    <t>Market Research</t>
  </si>
  <si>
    <t># of Ads per Brand</t>
  </si>
  <si>
    <t>Total Projected Brand Production Quarterly</t>
  </si>
  <si>
    <t>Store Lease</t>
  </si>
  <si>
    <t># of Redesigns</t>
  </si>
  <si>
    <t>Target</t>
  </si>
  <si>
    <t>Projected Brand Production Quarterly</t>
  </si>
  <si>
    <t>Production Costs/Unit</t>
  </si>
  <si>
    <t>Variable Costs per Unit</t>
  </si>
  <si>
    <t>Total Cost</t>
  </si>
  <si>
    <t>Price Willing to Pay</t>
  </si>
  <si>
    <t>Mark-up %</t>
  </si>
  <si>
    <t>Est. Price</t>
  </si>
  <si>
    <t>Is Price above
"Willing to Pay"</t>
  </si>
  <si>
    <t>Actual Price</t>
  </si>
  <si>
    <t>Profit</t>
  </si>
  <si>
    <t>Rebates</t>
  </si>
  <si>
    <t>Profit Margin</t>
  </si>
  <si>
    <t>Pricing Judgement</t>
  </si>
  <si>
    <t>Total Revenues</t>
  </si>
  <si>
    <t>Total Rebates</t>
  </si>
  <si>
    <t>Total COGS</t>
  </si>
  <si>
    <t>Speed</t>
  </si>
  <si>
    <t>3DXr Lightning</t>
  </si>
  <si>
    <t>Mountain</t>
  </si>
  <si>
    <t>3DXr Terrain Mx</t>
  </si>
  <si>
    <t>Recreation</t>
  </si>
  <si>
    <t>3DXr Recon Echo</t>
  </si>
  <si>
    <t>3DX Recon</t>
  </si>
  <si>
    <t>Work</t>
  </si>
  <si>
    <t>3DX Utility</t>
  </si>
  <si>
    <t>Youth</t>
  </si>
  <si>
    <t>3DX Spy Kid</t>
  </si>
  <si>
    <t>Quarter 6</t>
  </si>
  <si>
    <t>Open New Location</t>
  </si>
  <si>
    <t xml:space="preserve">Previous staff plus 2 new employees per store.
</t>
  </si>
  <si>
    <t>Quarter 7</t>
  </si>
  <si>
    <t>Add 1 New Brand</t>
  </si>
  <si>
    <t>NEW BRAND</t>
  </si>
  <si>
    <t>Quarter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</si>
</sst>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right" vertical="center"/>
    </xf>
    <xf numFmtId="164" fontId="0" fillId="2" borderId="1" xfId="1" applyNumberFormat="1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44" fontId="0" fillId="2" borderId="1" xfId="1" applyFont="1" applyFill="1" applyBorder="1" applyAlignment="1">
      <alignment horizontal="right" vertical="center"/>
    </xf>
    <xf numFmtId="44" fontId="0" fillId="0" borderId="0" xfId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44" fontId="0" fillId="0" borderId="0" xfId="1" applyNumberFormat="1" applyFont="1" applyBorder="1" applyAlignment="1">
      <alignment horizontal="center" vertical="center"/>
    </xf>
    <xf numFmtId="44" fontId="0" fillId="0" borderId="0" xfId="1" applyFont="1" applyBorder="1" applyAlignment="1">
      <alignment horizontal="right" vertical="center"/>
    </xf>
    <xf numFmtId="1" fontId="0" fillId="2" borderId="0" xfId="1" applyNumberFormat="1" applyFont="1" applyFill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center" vertical="center"/>
    </xf>
    <xf numFmtId="1" fontId="0" fillId="2" borderId="1" xfId="1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center" vertical="center"/>
    </xf>
    <xf numFmtId="3" fontId="3" fillId="6" borderId="0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center" vertical="center"/>
    </xf>
    <xf numFmtId="9" fontId="0" fillId="0" borderId="0" xfId="2" applyFont="1"/>
    <xf numFmtId="9" fontId="0" fillId="0" borderId="0" xfId="2" applyFont="1" applyAlignment="1">
      <alignment horizontal="center" wrapText="1"/>
    </xf>
    <xf numFmtId="9" fontId="0" fillId="0" borderId="0" xfId="2" applyFont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164" fontId="0" fillId="2" borderId="4" xfId="1" applyNumberFormat="1" applyFont="1" applyFill="1" applyBorder="1" applyAlignment="1">
      <alignment horizontal="right" vertical="center"/>
    </xf>
    <xf numFmtId="44" fontId="0" fillId="0" borderId="3" xfId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1" fontId="0" fillId="2" borderId="4" xfId="1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11" xfId="1" applyFont="1" applyBorder="1" applyAlignment="1">
      <alignment horizontal="right" vertical="center"/>
    </xf>
    <xf numFmtId="1" fontId="0" fillId="2" borderId="11" xfId="1" applyNumberFormat="1" applyFont="1" applyFill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4" fillId="2" borderId="1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9" fontId="4" fillId="0" borderId="11" xfId="2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5" xfId="0" applyBorder="1"/>
    <xf numFmtId="164" fontId="0" fillId="0" borderId="0" xfId="0" applyNumberFormat="1" applyBorder="1"/>
    <xf numFmtId="0" fontId="0" fillId="0" borderId="7" xfId="0" applyBorder="1"/>
    <xf numFmtId="44" fontId="0" fillId="0" borderId="0" xfId="0" applyNumberFormat="1" applyBorder="1"/>
    <xf numFmtId="164" fontId="0" fillId="0" borderId="7" xfId="1" applyNumberFormat="1" applyFont="1" applyBorder="1"/>
    <xf numFmtId="164" fontId="0" fillId="0" borderId="11" xfId="0" applyNumberFormat="1" applyBorder="1"/>
    <xf numFmtId="164" fontId="0" fillId="0" borderId="12" xfId="1" applyNumberFormat="1" applyFont="1" applyBorder="1"/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1104-BD13-4700-B8F2-559A292AAC6A}">
  <dimension ref="A1:R65"/>
  <sheetViews>
    <sheetView tabSelected="1" topLeftCell="A28" zoomScaleNormal="100" workbookViewId="0" xr3:uid="{1C41ABA5-ACDF-5DBD-9B21-30961969608C}">
      <selection activeCell="A43" sqref="A43"/>
    </sheetView>
  </sheetViews>
  <sheetFormatPr defaultRowHeight="15"/>
  <cols>
    <col min="1" max="1" width="17.7109375" customWidth="1"/>
    <col min="2" max="2" width="15.7109375" customWidth="1"/>
    <col min="3" max="3" width="12.7109375" customWidth="1"/>
    <col min="4" max="4" width="25" customWidth="1"/>
    <col min="5" max="5" width="10" bestFit="1" customWidth="1"/>
    <col min="6" max="6" width="10.42578125" customWidth="1"/>
    <col min="7" max="7" width="10.5703125" bestFit="1" customWidth="1"/>
    <col min="8" max="8" width="13.5703125" customWidth="1"/>
    <col min="9" max="9" width="10.5703125" bestFit="1" customWidth="1"/>
    <col min="10" max="10" width="11" customWidth="1"/>
    <col min="11" max="11" width="11.5703125" bestFit="1" customWidth="1"/>
    <col min="15" max="15" width="10.5703125" style="76" bestFit="1" customWidth="1"/>
    <col min="16" max="16" width="14.28515625" style="73" bestFit="1" customWidth="1"/>
    <col min="17" max="17" width="12.140625" bestFit="1" customWidth="1"/>
    <col min="18" max="18" width="12.5703125" bestFit="1" customWidth="1"/>
  </cols>
  <sheetData>
    <row r="1" spans="1:18">
      <c r="A1" s="99"/>
      <c r="Q1" s="73"/>
      <c r="R1" s="73"/>
    </row>
    <row r="2" spans="1:18" ht="45">
      <c r="A2" s="54" t="s">
        <v>0</v>
      </c>
      <c r="B2" s="55" t="s">
        <v>1</v>
      </c>
      <c r="C2" s="55"/>
      <c r="D2" s="87" t="s">
        <v>2</v>
      </c>
      <c r="E2" s="38">
        <f>6600*N2</f>
        <v>310200</v>
      </c>
      <c r="F2" s="39"/>
      <c r="G2" s="37" t="s">
        <v>3</v>
      </c>
      <c r="H2" s="38">
        <f>30000*K5+1000000</f>
        <v>1120000</v>
      </c>
      <c r="I2" s="40"/>
      <c r="J2" s="37" t="s">
        <v>4</v>
      </c>
      <c r="K2" s="41">
        <v>5</v>
      </c>
      <c r="L2" s="40"/>
      <c r="M2" s="37" t="s">
        <v>5</v>
      </c>
      <c r="N2" s="41">
        <v>47</v>
      </c>
      <c r="O2" s="40"/>
      <c r="P2" s="77"/>
      <c r="Q2" s="78"/>
      <c r="R2" s="79"/>
    </row>
    <row r="3" spans="1:18" ht="30" customHeight="1">
      <c r="A3" s="56"/>
      <c r="B3" s="25" t="s">
        <v>6</v>
      </c>
      <c r="C3" s="25"/>
      <c r="D3" s="88" t="s">
        <v>7</v>
      </c>
      <c r="E3" s="3">
        <f>10600*K4*K3+100000</f>
        <v>206000</v>
      </c>
      <c r="F3" s="9"/>
      <c r="G3" s="1" t="s">
        <v>8</v>
      </c>
      <c r="H3" s="2">
        <f>200*K2*K3</f>
        <v>5000</v>
      </c>
      <c r="I3" s="10"/>
      <c r="J3" s="1" t="s">
        <v>9</v>
      </c>
      <c r="K3" s="24">
        <v>5</v>
      </c>
      <c r="L3" s="10"/>
      <c r="M3" s="97" t="s">
        <v>10</v>
      </c>
      <c r="N3" s="98"/>
      <c r="O3" s="98"/>
      <c r="P3" s="80"/>
      <c r="Q3" s="76"/>
      <c r="R3" s="81"/>
    </row>
    <row r="4" spans="1:18" ht="30">
      <c r="A4" s="56"/>
      <c r="B4" s="25"/>
      <c r="C4" s="25"/>
      <c r="D4" s="88" t="s">
        <v>11</v>
      </c>
      <c r="E4" s="3">
        <f>1000*K2*K3</f>
        <v>25000</v>
      </c>
      <c r="F4" s="9"/>
      <c r="G4" s="1" t="s">
        <v>12</v>
      </c>
      <c r="H4" s="3">
        <v>60000</v>
      </c>
      <c r="I4" s="10"/>
      <c r="J4" s="1" t="s">
        <v>13</v>
      </c>
      <c r="K4" s="24">
        <v>2</v>
      </c>
      <c r="L4" s="10"/>
      <c r="M4" s="98"/>
      <c r="N4" s="98"/>
      <c r="O4" s="98"/>
      <c r="P4" s="80"/>
      <c r="Q4" s="76"/>
      <c r="R4" s="81"/>
    </row>
    <row r="5" spans="1:18" ht="45" customHeight="1">
      <c r="A5" s="57"/>
      <c r="B5" s="26"/>
      <c r="C5" s="27"/>
      <c r="D5" s="88" t="s">
        <v>14</v>
      </c>
      <c r="E5" s="4">
        <f>83*1.05*N2</f>
        <v>4096.05</v>
      </c>
      <c r="F5" s="10"/>
      <c r="G5" s="1" t="s">
        <v>15</v>
      </c>
      <c r="H5" s="8">
        <f>36300*K2</f>
        <v>181500</v>
      </c>
      <c r="I5" s="10"/>
      <c r="J5" s="1" t="s">
        <v>16</v>
      </c>
      <c r="K5" s="24">
        <v>4</v>
      </c>
      <c r="L5" s="10"/>
      <c r="M5" s="98"/>
      <c r="N5" s="98"/>
      <c r="O5" s="98"/>
      <c r="P5" s="80"/>
      <c r="Q5" s="76"/>
      <c r="R5" s="81"/>
    </row>
    <row r="6" spans="1:18">
      <c r="A6" s="42"/>
      <c r="B6" s="7"/>
      <c r="C6" s="11"/>
      <c r="D6" s="89"/>
      <c r="E6" s="10"/>
      <c r="F6" s="10"/>
      <c r="G6" s="10"/>
      <c r="H6" s="10"/>
      <c r="I6" s="10"/>
      <c r="J6" s="96"/>
      <c r="K6" s="10"/>
      <c r="L6" s="10"/>
      <c r="M6" s="10"/>
      <c r="N6" s="10"/>
      <c r="O6" s="10"/>
      <c r="P6" s="80"/>
      <c r="Q6" s="76"/>
      <c r="R6" s="81"/>
    </row>
    <row r="7" spans="1:18" ht="60">
      <c r="A7" s="43" t="s">
        <v>17</v>
      </c>
      <c r="B7" s="5"/>
      <c r="C7" s="75" t="s">
        <v>18</v>
      </c>
      <c r="D7" s="88" t="s">
        <v>19</v>
      </c>
      <c r="E7" s="1" t="s">
        <v>20</v>
      </c>
      <c r="F7" s="1" t="s">
        <v>21</v>
      </c>
      <c r="G7" s="1" t="s">
        <v>22</v>
      </c>
      <c r="H7" s="6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75" t="s">
        <v>30</v>
      </c>
      <c r="P7" s="86" t="s">
        <v>31</v>
      </c>
      <c r="Q7" s="5" t="s">
        <v>32</v>
      </c>
      <c r="R7" s="90" t="s">
        <v>33</v>
      </c>
    </row>
    <row r="8" spans="1:18">
      <c r="A8" s="42" t="s">
        <v>34</v>
      </c>
      <c r="B8" s="12" t="s">
        <v>35</v>
      </c>
      <c r="C8" s="96">
        <f>0.23*E5</f>
        <v>942.09150000000011</v>
      </c>
      <c r="D8" s="91">
        <v>536</v>
      </c>
      <c r="E8" s="13">
        <f>(E2+E3+E4+H2+H3+H4+H5)/E5</f>
        <v>465.74138499285897</v>
      </c>
      <c r="F8" s="14">
        <f>SUM(D8:E8)</f>
        <v>1001.7413849928589</v>
      </c>
      <c r="G8" s="14">
        <v>1384</v>
      </c>
      <c r="H8" s="15">
        <v>125</v>
      </c>
      <c r="I8" s="14">
        <f>((H8/100)*F8)+F8</f>
        <v>2253.9181162339328</v>
      </c>
      <c r="J8" s="16" t="str">
        <f>IF(K8&gt;G8,"Yes","No")</f>
        <v>No</v>
      </c>
      <c r="K8" s="17">
        <v>1349</v>
      </c>
      <c r="L8" s="18">
        <f>K8-F8</f>
        <v>347.25861500714109</v>
      </c>
      <c r="M8" s="14">
        <v>0</v>
      </c>
      <c r="N8" s="19">
        <f>((L8-M8)/K8)</f>
        <v>0.25741928466059383</v>
      </c>
      <c r="O8" s="14">
        <f>K8-M8</f>
        <v>1349</v>
      </c>
      <c r="P8" s="80">
        <f>C8*K8</f>
        <v>1270881.4335</v>
      </c>
      <c r="Q8" s="82">
        <f>M8*C8</f>
        <v>0</v>
      </c>
      <c r="R8" s="83">
        <f>C8*D8</f>
        <v>504961.04400000005</v>
      </c>
    </row>
    <row r="9" spans="1:18">
      <c r="A9" s="42" t="s">
        <v>36</v>
      </c>
      <c r="B9" s="12" t="s">
        <v>37</v>
      </c>
      <c r="C9" s="96">
        <f>0.2*E5</f>
        <v>819.21</v>
      </c>
      <c r="D9" s="91">
        <v>482</v>
      </c>
      <c r="E9" s="20">
        <f>$E$8</f>
        <v>465.74138499285897</v>
      </c>
      <c r="F9" s="14">
        <f t="shared" ref="F9:F13" si="0">SUM(D9:E9)</f>
        <v>947.74138499285891</v>
      </c>
      <c r="G9" s="14">
        <v>1149</v>
      </c>
      <c r="H9" s="15">
        <v>125</v>
      </c>
      <c r="I9" s="14">
        <f t="shared" ref="I9:I13" si="1">((H9/100)*F9)+F9</f>
        <v>2132.4181162339328</v>
      </c>
      <c r="J9" s="16" t="str">
        <f t="shared" ref="J9:J13" si="2">IF(K9&gt;G9,"Yes","No")</f>
        <v>No</v>
      </c>
      <c r="K9" s="17">
        <v>1099</v>
      </c>
      <c r="L9" s="18">
        <f t="shared" ref="L9:L13" si="3">K9-F9</f>
        <v>151.25861500714109</v>
      </c>
      <c r="M9" s="14">
        <v>0</v>
      </c>
      <c r="N9" s="19">
        <f t="shared" ref="N9:N13" si="4">((L9-M9)/K9)</f>
        <v>0.13763295269075623</v>
      </c>
      <c r="O9" s="14">
        <f>K9-M9</f>
        <v>1099</v>
      </c>
      <c r="P9" s="80">
        <f t="shared" ref="P9:P14" si="5">C9*K9</f>
        <v>900311.79</v>
      </c>
      <c r="Q9" s="82">
        <f t="shared" ref="Q9:Q13" si="6">M9*C9</f>
        <v>0</v>
      </c>
      <c r="R9" s="83">
        <f t="shared" ref="R9:R13" si="7">C9*D9</f>
        <v>394859.22000000003</v>
      </c>
    </row>
    <row r="10" spans="1:18">
      <c r="A10" s="42" t="s">
        <v>38</v>
      </c>
      <c r="B10" s="12" t="s">
        <v>39</v>
      </c>
      <c r="C10" s="96">
        <f>0.17*E5</f>
        <v>696.32850000000008</v>
      </c>
      <c r="D10" s="91">
        <v>335</v>
      </c>
      <c r="E10" s="20">
        <f t="shared" ref="E10:E13" si="8">$E$8</f>
        <v>465.74138499285897</v>
      </c>
      <c r="F10" s="14">
        <f t="shared" si="0"/>
        <v>800.74138499285891</v>
      </c>
      <c r="G10" s="14">
        <v>933</v>
      </c>
      <c r="H10" s="15">
        <v>125</v>
      </c>
      <c r="I10" s="14">
        <f t="shared" si="1"/>
        <v>1801.6681162339326</v>
      </c>
      <c r="J10" s="16" t="str">
        <f t="shared" si="2"/>
        <v>No</v>
      </c>
      <c r="K10" s="17">
        <v>899</v>
      </c>
      <c r="L10" s="18">
        <f t="shared" si="3"/>
        <v>98.258615007141088</v>
      </c>
      <c r="M10" s="14">
        <v>0</v>
      </c>
      <c r="N10" s="19">
        <f t="shared" si="4"/>
        <v>0.10929768076433936</v>
      </c>
      <c r="O10" s="14">
        <f>K10-M10</f>
        <v>899</v>
      </c>
      <c r="P10" s="80">
        <f t="shared" si="5"/>
        <v>625999.32150000008</v>
      </c>
      <c r="Q10" s="82">
        <f t="shared" si="6"/>
        <v>0</v>
      </c>
      <c r="R10" s="83">
        <f t="shared" si="7"/>
        <v>233270.04750000002</v>
      </c>
    </row>
    <row r="11" spans="1:18">
      <c r="A11" s="42" t="s">
        <v>38</v>
      </c>
      <c r="B11" s="12" t="s">
        <v>40</v>
      </c>
      <c r="C11" s="96">
        <f>0.12*E5</f>
        <v>491.52600000000001</v>
      </c>
      <c r="D11" s="91">
        <v>344</v>
      </c>
      <c r="E11" s="20">
        <f t="shared" si="8"/>
        <v>465.74138499285897</v>
      </c>
      <c r="F11" s="14">
        <f>SUM(D11:E11)</f>
        <v>809.74138499285891</v>
      </c>
      <c r="G11" s="14">
        <v>933</v>
      </c>
      <c r="H11" s="15">
        <v>100</v>
      </c>
      <c r="I11" s="14">
        <f t="shared" si="1"/>
        <v>1619.4827699857178</v>
      </c>
      <c r="J11" s="16" t="str">
        <f t="shared" si="2"/>
        <v>No</v>
      </c>
      <c r="K11" s="17">
        <v>749</v>
      </c>
      <c r="L11" s="18">
        <f>K11-F11</f>
        <v>-60.741384992858912</v>
      </c>
      <c r="M11" s="14">
        <v>50</v>
      </c>
      <c r="N11" s="19">
        <f t="shared" si="4"/>
        <v>-0.14785231641236168</v>
      </c>
      <c r="O11" s="14">
        <f>K11-M11</f>
        <v>699</v>
      </c>
      <c r="P11" s="80">
        <f t="shared" si="5"/>
        <v>368152.97399999999</v>
      </c>
      <c r="Q11" s="80">
        <f>M11*C11</f>
        <v>24576.3</v>
      </c>
      <c r="R11" s="83">
        <f t="shared" si="7"/>
        <v>169084.94400000002</v>
      </c>
    </row>
    <row r="12" spans="1:18">
      <c r="A12" s="42" t="s">
        <v>41</v>
      </c>
      <c r="B12" s="12" t="s">
        <v>42</v>
      </c>
      <c r="C12" s="96">
        <f>0.15*E5</f>
        <v>614.40750000000003</v>
      </c>
      <c r="D12" s="91">
        <v>299</v>
      </c>
      <c r="E12" s="20">
        <f t="shared" si="8"/>
        <v>465.74138499285897</v>
      </c>
      <c r="F12" s="14">
        <f t="shared" si="0"/>
        <v>764.74138499285891</v>
      </c>
      <c r="G12" s="14">
        <v>731</v>
      </c>
      <c r="H12" s="15">
        <v>100</v>
      </c>
      <c r="I12" s="14">
        <f t="shared" si="1"/>
        <v>1529.4827699857178</v>
      </c>
      <c r="J12" s="16" t="str">
        <f t="shared" si="2"/>
        <v>No</v>
      </c>
      <c r="K12" s="17">
        <v>674</v>
      </c>
      <c r="L12" s="18">
        <f t="shared" si="3"/>
        <v>-90.741384992858912</v>
      </c>
      <c r="M12" s="14">
        <v>50</v>
      </c>
      <c r="N12" s="19">
        <f t="shared" si="4"/>
        <v>-0.20881511126536931</v>
      </c>
      <c r="O12" s="14">
        <f>K12-M12</f>
        <v>624</v>
      </c>
      <c r="P12" s="80">
        <f t="shared" si="5"/>
        <v>414110.65500000003</v>
      </c>
      <c r="Q12" s="80">
        <f t="shared" ref="Q12:Q14" si="9">M12*C12</f>
        <v>30720.375</v>
      </c>
      <c r="R12" s="83">
        <f t="shared" si="7"/>
        <v>183707.8425</v>
      </c>
    </row>
    <row r="13" spans="1:18">
      <c r="A13" s="44" t="s">
        <v>43</v>
      </c>
      <c r="B13" s="45" t="s">
        <v>44</v>
      </c>
      <c r="C13" s="46">
        <f>0.13*E5</f>
        <v>532.48650000000009</v>
      </c>
      <c r="D13" s="92">
        <v>261</v>
      </c>
      <c r="E13" s="47">
        <f t="shared" si="8"/>
        <v>465.74138499285897</v>
      </c>
      <c r="F13" s="48">
        <f t="shared" si="0"/>
        <v>726.74138499285891</v>
      </c>
      <c r="G13" s="48">
        <v>681</v>
      </c>
      <c r="H13" s="49">
        <v>100</v>
      </c>
      <c r="I13" s="48">
        <f t="shared" si="1"/>
        <v>1453.4827699857178</v>
      </c>
      <c r="J13" s="50" t="str">
        <f t="shared" si="2"/>
        <v>No</v>
      </c>
      <c r="K13" s="51">
        <v>649</v>
      </c>
      <c r="L13" s="52">
        <f t="shared" si="3"/>
        <v>-77.741384992858912</v>
      </c>
      <c r="M13" s="48">
        <v>25</v>
      </c>
      <c r="N13" s="53">
        <f t="shared" si="4"/>
        <v>-0.15830721878714779</v>
      </c>
      <c r="O13" s="48">
        <f>K13-M13</f>
        <v>624</v>
      </c>
      <c r="P13" s="84">
        <f t="shared" si="5"/>
        <v>345583.73850000004</v>
      </c>
      <c r="Q13" s="84">
        <f t="shared" si="9"/>
        <v>13312.162500000002</v>
      </c>
      <c r="R13" s="85">
        <f t="shared" si="7"/>
        <v>138978.97650000002</v>
      </c>
    </row>
    <row r="14" spans="1:18">
      <c r="P14" s="73">
        <f>SUM(P8:P13)</f>
        <v>3925039.9125000006</v>
      </c>
      <c r="Q14" s="73">
        <f t="shared" ref="Q14" si="10">SUM(Q8:Q13)</f>
        <v>68608.837500000009</v>
      </c>
      <c r="R14" s="73">
        <f t="shared" ref="R14" si="11">SUM(R8:R13)</f>
        <v>1624862.0745000001</v>
      </c>
    </row>
    <row r="15" spans="1:18" ht="45">
      <c r="A15" s="58" t="s">
        <v>0</v>
      </c>
      <c r="B15" s="59" t="s">
        <v>45</v>
      </c>
      <c r="C15" s="59"/>
      <c r="D15" s="87" t="s">
        <v>2</v>
      </c>
      <c r="E15" s="38">
        <f>6600*N15</f>
        <v>376200</v>
      </c>
      <c r="F15" s="39"/>
      <c r="G15" s="37" t="s">
        <v>3</v>
      </c>
      <c r="H15" s="38">
        <f>30000*K18+800000</f>
        <v>920000</v>
      </c>
      <c r="I15" s="40"/>
      <c r="J15" s="37" t="s">
        <v>4</v>
      </c>
      <c r="K15" s="41">
        <v>5</v>
      </c>
      <c r="L15" s="60" t="s">
        <v>46</v>
      </c>
      <c r="M15" s="37" t="s">
        <v>5</v>
      </c>
      <c r="N15" s="41">
        <v>57</v>
      </c>
      <c r="O15" s="40"/>
      <c r="P15" s="77"/>
      <c r="Q15" s="78"/>
      <c r="R15" s="79"/>
    </row>
    <row r="16" spans="1:18" ht="30" customHeight="1">
      <c r="A16" s="61"/>
      <c r="B16" s="28" t="s">
        <v>6</v>
      </c>
      <c r="C16" s="28"/>
      <c r="D16" s="88" t="s">
        <v>7</v>
      </c>
      <c r="E16" s="3">
        <f>10600*K17*K16+100000</f>
        <v>259000</v>
      </c>
      <c r="F16" s="9"/>
      <c r="G16" s="1" t="s">
        <v>8</v>
      </c>
      <c r="H16" s="2">
        <f>200*K15*K16</f>
        <v>5000</v>
      </c>
      <c r="I16" s="10"/>
      <c r="J16" s="1" t="s">
        <v>9</v>
      </c>
      <c r="K16" s="24">
        <v>5</v>
      </c>
      <c r="L16" s="10"/>
      <c r="M16" s="97" t="s">
        <v>47</v>
      </c>
      <c r="N16" s="98"/>
      <c r="O16" s="98"/>
      <c r="P16" s="80"/>
      <c r="Q16" s="76"/>
      <c r="R16" s="81"/>
    </row>
    <row r="17" spans="1:18" ht="30">
      <c r="A17" s="61"/>
      <c r="B17" s="28"/>
      <c r="C17" s="28"/>
      <c r="D17" s="88" t="s">
        <v>11</v>
      </c>
      <c r="E17" s="3">
        <f>1000*K15*K16</f>
        <v>25000</v>
      </c>
      <c r="F17" s="9"/>
      <c r="G17" s="1" t="s">
        <v>12</v>
      </c>
      <c r="H17" s="3">
        <v>60000</v>
      </c>
      <c r="I17" s="10"/>
      <c r="J17" s="1" t="s">
        <v>13</v>
      </c>
      <c r="K17" s="24">
        <v>3</v>
      </c>
      <c r="L17" s="10"/>
      <c r="M17" s="98"/>
      <c r="N17" s="98"/>
      <c r="O17" s="98"/>
      <c r="P17" s="80">
        <v>6050407</v>
      </c>
      <c r="Q17" s="76"/>
      <c r="R17" s="81"/>
    </row>
    <row r="18" spans="1:18" ht="30">
      <c r="A18" s="62"/>
      <c r="B18" s="29"/>
      <c r="C18" s="30"/>
      <c r="D18" s="88" t="s">
        <v>14</v>
      </c>
      <c r="E18" s="4">
        <f>(83+30)*1.05^2*N15</f>
        <v>7101.2025000000003</v>
      </c>
      <c r="F18" s="10"/>
      <c r="G18" s="1" t="s">
        <v>15</v>
      </c>
      <c r="H18" s="8">
        <f>36300*K15</f>
        <v>181500</v>
      </c>
      <c r="I18" s="10"/>
      <c r="J18" s="1" t="s">
        <v>16</v>
      </c>
      <c r="K18" s="24">
        <v>4</v>
      </c>
      <c r="L18" s="95"/>
      <c r="M18" s="98"/>
      <c r="N18" s="98"/>
      <c r="O18" s="98"/>
      <c r="P18" s="80"/>
      <c r="Q18" s="76"/>
      <c r="R18" s="81"/>
    </row>
    <row r="19" spans="1:18">
      <c r="A19" s="42"/>
      <c r="B19" s="7"/>
      <c r="C19" s="11"/>
      <c r="D19" s="89"/>
      <c r="E19" s="10"/>
      <c r="F19" s="10"/>
      <c r="G19" s="10"/>
      <c r="H19" s="10"/>
      <c r="I19" s="10"/>
      <c r="J19" s="96"/>
      <c r="K19" s="10"/>
      <c r="L19" s="10"/>
      <c r="M19" s="10"/>
      <c r="N19" s="10"/>
      <c r="O19" s="10"/>
      <c r="P19" s="80"/>
      <c r="Q19" s="76"/>
      <c r="R19" s="81"/>
    </row>
    <row r="20" spans="1:18" ht="60">
      <c r="A20" s="43" t="s">
        <v>17</v>
      </c>
      <c r="B20" s="5"/>
      <c r="C20" s="75" t="s">
        <v>18</v>
      </c>
      <c r="D20" s="88" t="s">
        <v>19</v>
      </c>
      <c r="E20" s="1" t="s">
        <v>20</v>
      </c>
      <c r="F20" s="1" t="s">
        <v>21</v>
      </c>
      <c r="G20" s="1" t="s">
        <v>22</v>
      </c>
      <c r="H20" s="6" t="s">
        <v>23</v>
      </c>
      <c r="I20" s="1" t="s">
        <v>24</v>
      </c>
      <c r="J20" s="1" t="s">
        <v>25</v>
      </c>
      <c r="K20" s="1" t="s">
        <v>26</v>
      </c>
      <c r="L20" s="1" t="s">
        <v>27</v>
      </c>
      <c r="M20" s="1" t="s">
        <v>28</v>
      </c>
      <c r="N20" s="1" t="s">
        <v>29</v>
      </c>
      <c r="O20" s="75" t="s">
        <v>30</v>
      </c>
      <c r="P20" s="86" t="s">
        <v>31</v>
      </c>
      <c r="Q20" s="5" t="s">
        <v>32</v>
      </c>
      <c r="R20" s="90" t="s">
        <v>33</v>
      </c>
    </row>
    <row r="21" spans="1:18">
      <c r="A21" s="42" t="s">
        <v>34</v>
      </c>
      <c r="B21" s="12" t="s">
        <v>35</v>
      </c>
      <c r="C21" s="96">
        <f>0.23*E18</f>
        <v>1633.2765750000001</v>
      </c>
      <c r="D21" s="91">
        <v>457</v>
      </c>
      <c r="E21" s="13">
        <f>(E15+E16+E17+H15+H16+H17+H18)/E18</f>
        <v>257.23812269823316</v>
      </c>
      <c r="F21" s="14">
        <f>SUM(D21:E21)</f>
        <v>714.23812269823316</v>
      </c>
      <c r="G21" s="14">
        <v>1384</v>
      </c>
      <c r="H21" s="15">
        <v>125</v>
      </c>
      <c r="I21" s="14">
        <f>((H21/100)*F21)+F21</f>
        <v>1607.0357760710247</v>
      </c>
      <c r="J21" s="16" t="str">
        <f>IF(K21&gt;G21,"Yes","No")</f>
        <v>No</v>
      </c>
      <c r="K21" s="17">
        <v>1379</v>
      </c>
      <c r="L21" s="18">
        <f>K21-F21</f>
        <v>664.76187730176684</v>
      </c>
      <c r="M21" s="14">
        <v>200</v>
      </c>
      <c r="N21" s="19">
        <f>((L21-M21)/K21)</f>
        <v>0.33702819238706805</v>
      </c>
      <c r="O21" s="14">
        <f>K21-M21</f>
        <v>1179</v>
      </c>
      <c r="P21" s="80">
        <f>C21*K21</f>
        <v>2252288.396925</v>
      </c>
      <c r="Q21" s="82">
        <f>M21*C21</f>
        <v>326655.315</v>
      </c>
      <c r="R21" s="83">
        <f>C21*D21</f>
        <v>746407.39477500005</v>
      </c>
    </row>
    <row r="22" spans="1:18">
      <c r="A22" s="42" t="s">
        <v>36</v>
      </c>
      <c r="B22" s="12" t="s">
        <v>37</v>
      </c>
      <c r="C22" s="96">
        <f>0.2*E18</f>
        <v>1420.2405000000001</v>
      </c>
      <c r="D22" s="91">
        <v>410</v>
      </c>
      <c r="E22" s="20">
        <f>$E$21</f>
        <v>257.23812269823316</v>
      </c>
      <c r="F22" s="14">
        <f t="shared" ref="F22:F26" si="12">SUM(D22:E22)</f>
        <v>667.23812269823316</v>
      </c>
      <c r="G22" s="14">
        <v>1149</v>
      </c>
      <c r="H22" s="15">
        <v>125</v>
      </c>
      <c r="I22" s="14">
        <f t="shared" ref="I22:I26" si="13">((H22/100)*F22)+F22</f>
        <v>1501.2857760710247</v>
      </c>
      <c r="J22" s="16" t="str">
        <f>IF(K22&gt;G22,"Yes","No")</f>
        <v>No</v>
      </c>
      <c r="K22" s="17">
        <v>1139</v>
      </c>
      <c r="L22" s="18">
        <f>K22-F22</f>
        <v>471.76187730176684</v>
      </c>
      <c r="M22" s="14">
        <v>150</v>
      </c>
      <c r="N22" s="19">
        <f t="shared" ref="N22:N26" si="14">((L22-M22)/K22)</f>
        <v>0.28249506347828518</v>
      </c>
      <c r="O22" s="14">
        <f>K22-M22</f>
        <v>989</v>
      </c>
      <c r="P22" s="80">
        <f>C22*K22</f>
        <v>1617653.9295000001</v>
      </c>
      <c r="Q22" s="82">
        <f>M22*C22</f>
        <v>213036.07500000001</v>
      </c>
      <c r="R22" s="83">
        <f t="shared" ref="R22:R26" si="15">C22*D22</f>
        <v>582298.6050000001</v>
      </c>
    </row>
    <row r="23" spans="1:18">
      <c r="A23" s="42" t="s">
        <v>38</v>
      </c>
      <c r="B23" s="12" t="s">
        <v>39</v>
      </c>
      <c r="C23" s="96">
        <f>0.17*E18</f>
        <v>1207.2044250000001</v>
      </c>
      <c r="D23" s="91">
        <v>280</v>
      </c>
      <c r="E23" s="20">
        <f t="shared" ref="E23:E26" si="16">$E$21</f>
        <v>257.23812269823316</v>
      </c>
      <c r="F23" s="14">
        <f t="shared" si="12"/>
        <v>537.23812269823316</v>
      </c>
      <c r="G23" s="14">
        <v>933</v>
      </c>
      <c r="H23" s="15">
        <v>125</v>
      </c>
      <c r="I23" s="14">
        <f t="shared" si="13"/>
        <v>1208.7857760710247</v>
      </c>
      <c r="J23" s="16" t="str">
        <f>IF(K23&gt;G23,"Yes","No")</f>
        <v>No</v>
      </c>
      <c r="K23" s="17">
        <v>929</v>
      </c>
      <c r="L23" s="18">
        <f>K23-F23</f>
        <v>391.76187730176684</v>
      </c>
      <c r="M23" s="14">
        <v>140</v>
      </c>
      <c r="N23" s="19">
        <f t="shared" si="14"/>
        <v>0.2710030972031936</v>
      </c>
      <c r="O23" s="14">
        <f>K23-M23</f>
        <v>789</v>
      </c>
      <c r="P23" s="80">
        <f>C23*K23</f>
        <v>1121492.9108250001</v>
      </c>
      <c r="Q23" s="82">
        <f>M23*C23</f>
        <v>169008.61950000003</v>
      </c>
      <c r="R23" s="83">
        <f t="shared" si="15"/>
        <v>338017.23900000006</v>
      </c>
    </row>
    <row r="24" spans="1:18">
      <c r="A24" s="42" t="s">
        <v>38</v>
      </c>
      <c r="B24" s="12" t="s">
        <v>40</v>
      </c>
      <c r="C24" s="96">
        <f>0.12*E18</f>
        <v>852.14430000000004</v>
      </c>
      <c r="D24" s="91">
        <v>287</v>
      </c>
      <c r="E24" s="20">
        <f t="shared" si="16"/>
        <v>257.23812269823316</v>
      </c>
      <c r="F24" s="14">
        <f t="shared" si="12"/>
        <v>544.23812269823316</v>
      </c>
      <c r="G24" s="14">
        <v>933</v>
      </c>
      <c r="H24" s="15">
        <v>100</v>
      </c>
      <c r="I24" s="14">
        <f t="shared" si="13"/>
        <v>1088.4762453964663</v>
      </c>
      <c r="J24" s="16" t="str">
        <f>IF(K24&gt;G24,"Yes","No")</f>
        <v>No</v>
      </c>
      <c r="K24" s="17">
        <v>799</v>
      </c>
      <c r="L24" s="18">
        <f>K24-F24</f>
        <v>254.76187730176684</v>
      </c>
      <c r="M24" s="14">
        <v>100</v>
      </c>
      <c r="N24" s="19">
        <f t="shared" si="14"/>
        <v>0.19369446470809368</v>
      </c>
      <c r="O24" s="14">
        <f>K24-M24</f>
        <v>699</v>
      </c>
      <c r="P24" s="80">
        <f>C24*K24</f>
        <v>680863.29570000002</v>
      </c>
      <c r="Q24" s="80">
        <f>M24*C24</f>
        <v>85214.430000000008</v>
      </c>
      <c r="R24" s="83">
        <f t="shared" si="15"/>
        <v>244565.41410000002</v>
      </c>
    </row>
    <row r="25" spans="1:18">
      <c r="A25" s="42" t="s">
        <v>41</v>
      </c>
      <c r="B25" s="12" t="s">
        <v>42</v>
      </c>
      <c r="C25" s="96">
        <f>0.15*E18</f>
        <v>1065.1803749999999</v>
      </c>
      <c r="D25" s="91">
        <v>248</v>
      </c>
      <c r="E25" s="20">
        <f t="shared" si="16"/>
        <v>257.23812269823316</v>
      </c>
      <c r="F25" s="14">
        <f t="shared" si="12"/>
        <v>505.23812269823316</v>
      </c>
      <c r="G25" s="14">
        <v>731</v>
      </c>
      <c r="H25" s="15">
        <v>100</v>
      </c>
      <c r="I25" s="14">
        <f t="shared" si="13"/>
        <v>1010.4762453964663</v>
      </c>
      <c r="J25" s="16" t="str">
        <f>IF(K25&gt;G25,"Yes","No")</f>
        <v>No</v>
      </c>
      <c r="K25" s="17">
        <v>699</v>
      </c>
      <c r="L25" s="18">
        <f>K25-F25</f>
        <v>193.76187730176684</v>
      </c>
      <c r="M25" s="14">
        <v>100</v>
      </c>
      <c r="N25" s="19">
        <f t="shared" si="14"/>
        <v>0.13413716352184099</v>
      </c>
      <c r="O25" s="14">
        <f>K25-M25</f>
        <v>599</v>
      </c>
      <c r="P25" s="80">
        <f>C25*K25</f>
        <v>744561.08212499996</v>
      </c>
      <c r="Q25" s="80">
        <f>M25*C25</f>
        <v>106518.03749999999</v>
      </c>
      <c r="R25" s="83">
        <f t="shared" si="15"/>
        <v>264164.73300000001</v>
      </c>
    </row>
    <row r="26" spans="1:18">
      <c r="A26" s="44" t="s">
        <v>43</v>
      </c>
      <c r="B26" s="45" t="s">
        <v>44</v>
      </c>
      <c r="C26" s="46">
        <f>0.13*E18</f>
        <v>923.15632500000004</v>
      </c>
      <c r="D26" s="92">
        <v>212</v>
      </c>
      <c r="E26" s="47">
        <f t="shared" si="16"/>
        <v>257.23812269823316</v>
      </c>
      <c r="F26" s="48">
        <f t="shared" si="12"/>
        <v>469.23812269823316</v>
      </c>
      <c r="G26" s="48">
        <v>681</v>
      </c>
      <c r="H26" s="49">
        <v>100</v>
      </c>
      <c r="I26" s="48">
        <f t="shared" si="13"/>
        <v>938.47624539646631</v>
      </c>
      <c r="J26" s="50" t="str">
        <f>IF(K26&gt;G26,"Yes","No")</f>
        <v>No</v>
      </c>
      <c r="K26" s="51">
        <v>679</v>
      </c>
      <c r="L26" s="52">
        <f>K26-F26</f>
        <v>209.76187730176684</v>
      </c>
      <c r="M26" s="48">
        <v>75</v>
      </c>
      <c r="N26" s="53">
        <f t="shared" si="14"/>
        <v>0.19847110059170375</v>
      </c>
      <c r="O26" s="48">
        <f>K26-M26</f>
        <v>604</v>
      </c>
      <c r="P26" s="84">
        <f>C26*K26</f>
        <v>626823.14467499999</v>
      </c>
      <c r="Q26" s="84">
        <f>M26*C26</f>
        <v>69236.724375000005</v>
      </c>
      <c r="R26" s="85">
        <f t="shared" si="15"/>
        <v>195709.1409</v>
      </c>
    </row>
    <row r="27" spans="1:18">
      <c r="P27" s="73">
        <f>SUM(P21:P26)</f>
        <v>7043682.7597499993</v>
      </c>
      <c r="Q27" s="73">
        <f t="shared" ref="Q27" si="17">SUM(Q21:Q26)</f>
        <v>969669.20137500006</v>
      </c>
      <c r="R27" s="73">
        <f t="shared" ref="R27" si="18">SUM(R21:R26)</f>
        <v>2371162.5267750002</v>
      </c>
    </row>
    <row r="28" spans="1:18" ht="45">
      <c r="A28" s="63" t="s">
        <v>0</v>
      </c>
      <c r="B28" s="64" t="s">
        <v>48</v>
      </c>
      <c r="C28" s="64"/>
      <c r="D28" s="87" t="s">
        <v>2</v>
      </c>
      <c r="E28" s="38">
        <f>6600*N28-100000</f>
        <v>388400</v>
      </c>
      <c r="F28" s="39"/>
      <c r="G28" s="37" t="s">
        <v>3</v>
      </c>
      <c r="H28" s="38">
        <f>30000*K31+500000</f>
        <v>620000</v>
      </c>
      <c r="I28" s="40"/>
      <c r="J28" s="37" t="s">
        <v>4</v>
      </c>
      <c r="K28" s="41">
        <v>6</v>
      </c>
      <c r="L28" s="60" t="s">
        <v>46</v>
      </c>
      <c r="M28" s="37" t="s">
        <v>5</v>
      </c>
      <c r="N28" s="41">
        <v>74</v>
      </c>
      <c r="O28" s="40"/>
      <c r="P28" s="77"/>
      <c r="Q28" s="78"/>
      <c r="R28" s="79"/>
    </row>
    <row r="29" spans="1:18" ht="30" customHeight="1">
      <c r="A29" s="65"/>
      <c r="B29" s="31" t="s">
        <v>6</v>
      </c>
      <c r="C29" s="31"/>
      <c r="D29" s="88" t="s">
        <v>7</v>
      </c>
      <c r="E29" s="3">
        <f>10600*K30*K29+100000</f>
        <v>354400</v>
      </c>
      <c r="F29" s="9"/>
      <c r="G29" s="1" t="s">
        <v>8</v>
      </c>
      <c r="H29" s="2">
        <f>200*K28*K29</f>
        <v>7200</v>
      </c>
      <c r="I29" s="10"/>
      <c r="J29" s="1" t="s">
        <v>9</v>
      </c>
      <c r="K29" s="24">
        <v>6</v>
      </c>
      <c r="L29" s="10"/>
      <c r="M29" s="97" t="s">
        <v>10</v>
      </c>
      <c r="N29" s="98"/>
      <c r="O29" s="98"/>
      <c r="P29" s="80"/>
      <c r="Q29" s="76"/>
      <c r="R29" s="81"/>
    </row>
    <row r="30" spans="1:18" ht="30">
      <c r="A30" s="65"/>
      <c r="B30" s="31"/>
      <c r="C30" s="31"/>
      <c r="D30" s="88" t="s">
        <v>11</v>
      </c>
      <c r="E30" s="3">
        <f>1000*K28*K29</f>
        <v>36000</v>
      </c>
      <c r="F30" s="9"/>
      <c r="G30" s="1" t="s">
        <v>12</v>
      </c>
      <c r="H30" s="3">
        <v>60000</v>
      </c>
      <c r="I30" s="10"/>
      <c r="J30" s="1" t="s">
        <v>13</v>
      </c>
      <c r="K30" s="24">
        <v>4</v>
      </c>
      <c r="L30" s="10"/>
      <c r="M30" s="98"/>
      <c r="N30" s="98"/>
      <c r="O30" s="98"/>
      <c r="P30" s="80"/>
      <c r="Q30" s="76"/>
      <c r="R30" s="81"/>
    </row>
    <row r="31" spans="1:18" ht="45">
      <c r="A31" s="66"/>
      <c r="B31" s="32"/>
      <c r="C31" s="33"/>
      <c r="D31" s="88" t="s">
        <v>14</v>
      </c>
      <c r="E31" s="4">
        <f>83*1.05^3*N28</f>
        <v>7110.1327500000016</v>
      </c>
      <c r="F31" s="10"/>
      <c r="G31" s="1" t="s">
        <v>15</v>
      </c>
      <c r="H31" s="8">
        <f>36300*K28</f>
        <v>217800</v>
      </c>
      <c r="I31" s="10"/>
      <c r="J31" s="1" t="s">
        <v>16</v>
      </c>
      <c r="K31" s="24">
        <v>4</v>
      </c>
      <c r="L31" s="95" t="s">
        <v>49</v>
      </c>
      <c r="M31" s="98"/>
      <c r="N31" s="98"/>
      <c r="O31" s="98"/>
      <c r="P31" s="80"/>
      <c r="Q31" s="76"/>
      <c r="R31" s="81"/>
    </row>
    <row r="32" spans="1:18">
      <c r="A32" s="42"/>
      <c r="B32" s="7"/>
      <c r="C32" s="11"/>
      <c r="D32" s="89"/>
      <c r="E32" s="10"/>
      <c r="F32" s="10"/>
      <c r="G32" s="10"/>
      <c r="H32" s="10"/>
      <c r="I32" s="10"/>
      <c r="J32" s="96"/>
      <c r="K32" s="10"/>
      <c r="L32" s="10"/>
      <c r="M32" s="10"/>
      <c r="N32" s="10"/>
      <c r="O32" s="10"/>
      <c r="P32" s="80"/>
      <c r="Q32" s="76"/>
      <c r="R32" s="81"/>
    </row>
    <row r="33" spans="1:18" ht="60">
      <c r="A33" s="43" t="s">
        <v>17</v>
      </c>
      <c r="B33" s="5"/>
      <c r="C33" s="75" t="s">
        <v>18</v>
      </c>
      <c r="D33" s="88" t="s">
        <v>19</v>
      </c>
      <c r="E33" s="1" t="s">
        <v>20</v>
      </c>
      <c r="F33" s="1" t="s">
        <v>21</v>
      </c>
      <c r="G33" s="1" t="s">
        <v>22</v>
      </c>
      <c r="H33" s="6" t="s">
        <v>23</v>
      </c>
      <c r="I33" s="1" t="s">
        <v>24</v>
      </c>
      <c r="J33" s="1" t="s">
        <v>25</v>
      </c>
      <c r="K33" s="1" t="s">
        <v>26</v>
      </c>
      <c r="L33" s="1" t="s">
        <v>27</v>
      </c>
      <c r="M33" s="1" t="s">
        <v>28</v>
      </c>
      <c r="N33" s="1" t="s">
        <v>29</v>
      </c>
      <c r="O33" s="75" t="s">
        <v>30</v>
      </c>
      <c r="P33" s="86" t="s">
        <v>31</v>
      </c>
      <c r="Q33" s="5" t="s">
        <v>32</v>
      </c>
      <c r="R33" s="90" t="s">
        <v>33</v>
      </c>
    </row>
    <row r="34" spans="1:18">
      <c r="A34" s="42" t="s">
        <v>34</v>
      </c>
      <c r="B34" s="12" t="s">
        <v>35</v>
      </c>
      <c r="C34" s="96">
        <f>0.21*E31</f>
        <v>1493.1278775000003</v>
      </c>
      <c r="D34" s="91">
        <v>457</v>
      </c>
      <c r="E34" s="13">
        <f>(E28+E29+E30+H28+H29+H30+H31)/E31</f>
        <v>236.81695675794515</v>
      </c>
      <c r="F34" s="14">
        <f>SUM(D34:E34)</f>
        <v>693.81695675794515</v>
      </c>
      <c r="G34" s="14">
        <v>1384</v>
      </c>
      <c r="H34" s="15">
        <v>125</v>
      </c>
      <c r="I34" s="14">
        <f>((H34/100)*F34)+F34</f>
        <v>1561.0881527053766</v>
      </c>
      <c r="J34" s="16" t="str">
        <f>IF(K34&gt;G34,"Yes","No")</f>
        <v>No</v>
      </c>
      <c r="K34" s="17">
        <v>1379</v>
      </c>
      <c r="L34" s="18">
        <f>K34-F34</f>
        <v>685.18304324205485</v>
      </c>
      <c r="M34" s="14">
        <v>0</v>
      </c>
      <c r="N34" s="19">
        <f>((L34-M34)/K34)</f>
        <v>0.49686950198843716</v>
      </c>
      <c r="O34" s="14">
        <f>K34-M34</f>
        <v>1379</v>
      </c>
      <c r="P34" s="80">
        <f>C34*K34</f>
        <v>2059023.3430725003</v>
      </c>
      <c r="Q34" s="82">
        <f>M34*C34</f>
        <v>0</v>
      </c>
      <c r="R34" s="83">
        <f>C34*D34</f>
        <v>682359.44001750008</v>
      </c>
    </row>
    <row r="35" spans="1:18">
      <c r="A35" s="42" t="s">
        <v>36</v>
      </c>
      <c r="B35" s="12" t="s">
        <v>37</v>
      </c>
      <c r="C35" s="96">
        <f>0.18*E31</f>
        <v>1279.8238950000002</v>
      </c>
      <c r="D35" s="91">
        <v>410</v>
      </c>
      <c r="E35" s="20">
        <f>$E$34</f>
        <v>236.81695675794515</v>
      </c>
      <c r="F35" s="14">
        <f t="shared" ref="F35:F40" si="19">SUM(D35:E35)</f>
        <v>646.81695675794515</v>
      </c>
      <c r="G35" s="14">
        <v>1149</v>
      </c>
      <c r="H35" s="15">
        <v>125</v>
      </c>
      <c r="I35" s="14">
        <f t="shared" ref="I35:I40" si="20">((H35/100)*F35)+F35</f>
        <v>1455.3381527053766</v>
      </c>
      <c r="J35" s="16" t="str">
        <f t="shared" ref="J35:J40" si="21">IF(K35&gt;G35,"Yes","No")</f>
        <v>No</v>
      </c>
      <c r="K35" s="17">
        <v>1139</v>
      </c>
      <c r="L35" s="18">
        <f t="shared" ref="L35:L40" si="22">K35-F35</f>
        <v>492.18304324205485</v>
      </c>
      <c r="M35" s="14">
        <v>0</v>
      </c>
      <c r="N35" s="19">
        <f t="shared" ref="N35:N40" si="23">((L35-M35)/K35)</f>
        <v>0.43211856298687873</v>
      </c>
      <c r="O35" s="14">
        <f>K35-M35</f>
        <v>1139</v>
      </c>
      <c r="P35" s="80">
        <f t="shared" ref="P35:P40" si="24">C35*K35</f>
        <v>1457719.4164050003</v>
      </c>
      <c r="Q35" s="82">
        <f t="shared" ref="Q35:Q39" si="25">M35*C35</f>
        <v>0</v>
      </c>
      <c r="R35" s="83">
        <f t="shared" ref="R35:R39" si="26">C35*D35</f>
        <v>524727.79695000011</v>
      </c>
    </row>
    <row r="36" spans="1:18">
      <c r="A36" s="42" t="s">
        <v>38</v>
      </c>
      <c r="B36" s="12" t="s">
        <v>39</v>
      </c>
      <c r="C36" s="96">
        <f>0.15*E31</f>
        <v>1066.5199125000001</v>
      </c>
      <c r="D36" s="91">
        <v>280</v>
      </c>
      <c r="E36" s="20">
        <f t="shared" ref="E36:E40" si="27">$E$34</f>
        <v>236.81695675794515</v>
      </c>
      <c r="F36" s="14">
        <f t="shared" si="19"/>
        <v>516.81695675794515</v>
      </c>
      <c r="G36" s="14">
        <v>933</v>
      </c>
      <c r="H36" s="15">
        <v>125</v>
      </c>
      <c r="I36" s="14">
        <f t="shared" si="20"/>
        <v>1162.8381527053766</v>
      </c>
      <c r="J36" s="16" t="str">
        <f t="shared" si="21"/>
        <v>No</v>
      </c>
      <c r="K36" s="17">
        <v>929</v>
      </c>
      <c r="L36" s="18">
        <f t="shared" si="22"/>
        <v>412.18304324205485</v>
      </c>
      <c r="M36" s="14">
        <v>0</v>
      </c>
      <c r="N36" s="19">
        <f t="shared" si="23"/>
        <v>0.44368465365129695</v>
      </c>
      <c r="O36" s="14">
        <f>K36-M36</f>
        <v>929</v>
      </c>
      <c r="P36" s="80">
        <f t="shared" si="24"/>
        <v>990796.99871250009</v>
      </c>
      <c r="Q36" s="82">
        <f t="shared" si="25"/>
        <v>0</v>
      </c>
      <c r="R36" s="83">
        <f t="shared" si="26"/>
        <v>298625.57550000004</v>
      </c>
    </row>
    <row r="37" spans="1:18">
      <c r="A37" s="42" t="s">
        <v>38</v>
      </c>
      <c r="B37" s="12" t="s">
        <v>40</v>
      </c>
      <c r="C37" s="96">
        <f>0.1*E31</f>
        <v>711.01327500000025</v>
      </c>
      <c r="D37" s="91">
        <v>287</v>
      </c>
      <c r="E37" s="20">
        <f t="shared" si="27"/>
        <v>236.81695675794515</v>
      </c>
      <c r="F37" s="14">
        <f t="shared" si="19"/>
        <v>523.81695675794515</v>
      </c>
      <c r="G37" s="14">
        <v>933</v>
      </c>
      <c r="H37" s="15">
        <v>100</v>
      </c>
      <c r="I37" s="14">
        <f t="shared" si="20"/>
        <v>1047.6339135158903</v>
      </c>
      <c r="J37" s="16" t="str">
        <f t="shared" si="21"/>
        <v>No</v>
      </c>
      <c r="K37" s="17">
        <v>799</v>
      </c>
      <c r="L37" s="18">
        <f t="shared" si="22"/>
        <v>275.18304324205485</v>
      </c>
      <c r="M37" s="14">
        <v>0</v>
      </c>
      <c r="N37" s="19">
        <f t="shared" si="23"/>
        <v>0.34440931569719008</v>
      </c>
      <c r="O37" s="14">
        <f>K37-M37</f>
        <v>799</v>
      </c>
      <c r="P37" s="80">
        <f t="shared" si="24"/>
        <v>568099.60672500019</v>
      </c>
      <c r="Q37" s="80">
        <f>M37*C37</f>
        <v>0</v>
      </c>
      <c r="R37" s="83">
        <f t="shared" si="26"/>
        <v>204060.80992500007</v>
      </c>
    </row>
    <row r="38" spans="1:18">
      <c r="A38" s="42" t="s">
        <v>41</v>
      </c>
      <c r="B38" s="12" t="s">
        <v>42</v>
      </c>
      <c r="C38" s="96">
        <f>0.14*E31-100</f>
        <v>895.41858500000035</v>
      </c>
      <c r="D38" s="91">
        <v>248</v>
      </c>
      <c r="E38" s="20">
        <f t="shared" si="27"/>
        <v>236.81695675794515</v>
      </c>
      <c r="F38" s="14">
        <f t="shared" si="19"/>
        <v>484.81695675794515</v>
      </c>
      <c r="G38" s="14">
        <v>731</v>
      </c>
      <c r="H38" s="15">
        <v>100</v>
      </c>
      <c r="I38" s="14">
        <f t="shared" si="20"/>
        <v>969.6339135158903</v>
      </c>
      <c r="J38" s="16" t="str">
        <f t="shared" si="21"/>
        <v>No</v>
      </c>
      <c r="K38" s="17">
        <v>699</v>
      </c>
      <c r="L38" s="18">
        <f t="shared" si="22"/>
        <v>214.18304324205485</v>
      </c>
      <c r="M38" s="14">
        <v>0</v>
      </c>
      <c r="N38" s="19">
        <f t="shared" si="23"/>
        <v>0.30641350964528591</v>
      </c>
      <c r="O38" s="14">
        <f>K38-M38</f>
        <v>699</v>
      </c>
      <c r="P38" s="80">
        <f t="shared" si="24"/>
        <v>625897.5909150003</v>
      </c>
      <c r="Q38" s="80">
        <f t="shared" ref="Q38:Q40" si="28">M38*C38</f>
        <v>0</v>
      </c>
      <c r="R38" s="83">
        <f t="shared" si="26"/>
        <v>222063.80908000009</v>
      </c>
    </row>
    <row r="39" spans="1:18">
      <c r="A39" s="42" t="s">
        <v>41</v>
      </c>
      <c r="B39" s="12" t="s">
        <v>50</v>
      </c>
      <c r="C39" s="96">
        <f>0.1*E31-100</f>
        <v>611.01327500000025</v>
      </c>
      <c r="D39" s="91">
        <v>248</v>
      </c>
      <c r="E39" s="20">
        <f t="shared" si="27"/>
        <v>236.81695675794515</v>
      </c>
      <c r="F39" s="14">
        <f t="shared" ref="F39" si="29">SUM(D39:E39)</f>
        <v>484.81695675794515</v>
      </c>
      <c r="G39" s="14">
        <v>731</v>
      </c>
      <c r="H39" s="15">
        <v>100</v>
      </c>
      <c r="I39" s="14">
        <f t="shared" ref="I39" si="30">((H39/100)*F39)+F39</f>
        <v>969.6339135158903</v>
      </c>
      <c r="J39" s="16" t="str">
        <f t="shared" ref="J39" si="31">IF(K39&gt;G39,"Yes","No")</f>
        <v>No</v>
      </c>
      <c r="K39" s="17">
        <v>679</v>
      </c>
      <c r="L39" s="18">
        <f t="shared" ref="L39" si="32">K39-F39</f>
        <v>194.18304324205485</v>
      </c>
      <c r="M39" s="14">
        <v>0</v>
      </c>
      <c r="N39" s="19">
        <f t="shared" ref="N39" si="33">((L39-M39)/K39)</f>
        <v>0.28598386339036058</v>
      </c>
      <c r="O39" s="14">
        <f>K39-M39</f>
        <v>679</v>
      </c>
      <c r="P39" s="80">
        <f t="shared" si="24"/>
        <v>414878.01372500014</v>
      </c>
      <c r="Q39" s="80">
        <f t="shared" si="28"/>
        <v>0</v>
      </c>
      <c r="R39" s="83">
        <f t="shared" si="26"/>
        <v>151531.29220000005</v>
      </c>
    </row>
    <row r="40" spans="1:18">
      <c r="A40" s="44" t="s">
        <v>43</v>
      </c>
      <c r="B40" s="45" t="s">
        <v>44</v>
      </c>
      <c r="C40" s="46">
        <f>0.13*E31-100</f>
        <v>824.31725750000021</v>
      </c>
      <c r="D40" s="92">
        <v>212</v>
      </c>
      <c r="E40" s="47">
        <f t="shared" si="27"/>
        <v>236.81695675794515</v>
      </c>
      <c r="F40" s="48">
        <f t="shared" si="19"/>
        <v>448.81695675794515</v>
      </c>
      <c r="G40" s="48">
        <v>681</v>
      </c>
      <c r="H40" s="49">
        <v>100</v>
      </c>
      <c r="I40" s="48">
        <f t="shared" si="20"/>
        <v>897.6339135158903</v>
      </c>
      <c r="J40" s="50" t="str">
        <f t="shared" si="21"/>
        <v>No</v>
      </c>
      <c r="K40" s="51">
        <v>679</v>
      </c>
      <c r="L40" s="52">
        <f t="shared" si="22"/>
        <v>230.18304324205485</v>
      </c>
      <c r="M40" s="48">
        <v>0</v>
      </c>
      <c r="N40" s="53">
        <f t="shared" si="23"/>
        <v>0.33900300919301157</v>
      </c>
      <c r="O40" s="48">
        <f>K40-M40</f>
        <v>679</v>
      </c>
      <c r="P40" s="84">
        <f t="shared" ref="P40" si="34">C40*K40</f>
        <v>559711.41784250014</v>
      </c>
      <c r="Q40" s="84">
        <f t="shared" ref="Q40" si="35">M40*C40</f>
        <v>0</v>
      </c>
      <c r="R40" s="85">
        <f t="shared" ref="R40" si="36">C40*D40</f>
        <v>174755.25859000004</v>
      </c>
    </row>
    <row r="41" spans="1:18">
      <c r="P41" s="73">
        <f>SUM(P34:P40)</f>
        <v>6676126.3873975007</v>
      </c>
      <c r="Q41" s="73">
        <f t="shared" ref="Q41:R41" si="37">SUM(Q34:Q40)</f>
        <v>0</v>
      </c>
      <c r="R41" s="73">
        <f t="shared" si="37"/>
        <v>2258123.9822625006</v>
      </c>
    </row>
    <row r="42" spans="1:18" ht="45">
      <c r="A42" s="69" t="s">
        <v>0</v>
      </c>
      <c r="B42" s="70" t="s">
        <v>51</v>
      </c>
      <c r="C42" s="70"/>
      <c r="D42" s="87" t="s">
        <v>2</v>
      </c>
      <c r="E42" s="38">
        <f>6600*N42</f>
        <v>613800</v>
      </c>
      <c r="F42" s="39"/>
      <c r="G42" s="37" t="s">
        <v>3</v>
      </c>
      <c r="H42" s="38">
        <f>30000*K45</f>
        <v>120000</v>
      </c>
      <c r="I42" s="40"/>
      <c r="J42" s="37" t="s">
        <v>4</v>
      </c>
      <c r="K42" s="41">
        <v>7</v>
      </c>
      <c r="L42" s="40"/>
      <c r="M42" s="37" t="s">
        <v>5</v>
      </c>
      <c r="N42" s="41">
        <v>93</v>
      </c>
      <c r="O42" s="40"/>
      <c r="P42" s="77"/>
      <c r="Q42" s="78"/>
      <c r="R42" s="79"/>
    </row>
    <row r="43" spans="1:18" ht="30" customHeight="1">
      <c r="A43" s="71"/>
      <c r="B43" s="21" t="s">
        <v>6</v>
      </c>
      <c r="C43" s="21"/>
      <c r="D43" s="88" t="s">
        <v>7</v>
      </c>
      <c r="E43" s="3">
        <f>10600*K44*K43+100000</f>
        <v>418000</v>
      </c>
      <c r="F43" s="9"/>
      <c r="G43" s="1" t="s">
        <v>8</v>
      </c>
      <c r="H43" s="2">
        <f>200*K42*K43</f>
        <v>8400</v>
      </c>
      <c r="I43" s="10"/>
      <c r="J43" s="1" t="s">
        <v>9</v>
      </c>
      <c r="K43" s="24">
        <v>6</v>
      </c>
      <c r="L43" s="10"/>
      <c r="M43" s="97" t="s">
        <v>10</v>
      </c>
      <c r="N43" s="98"/>
      <c r="O43" s="98"/>
      <c r="P43" s="80"/>
      <c r="Q43" s="76"/>
      <c r="R43" s="81"/>
    </row>
    <row r="44" spans="1:18" ht="30">
      <c r="A44" s="71"/>
      <c r="B44" s="21"/>
      <c r="C44" s="21"/>
      <c r="D44" s="88" t="s">
        <v>11</v>
      </c>
      <c r="E44" s="3">
        <f>1000*K42*K43</f>
        <v>42000</v>
      </c>
      <c r="F44" s="9"/>
      <c r="G44" s="1" t="s">
        <v>12</v>
      </c>
      <c r="H44" s="3">
        <v>60000</v>
      </c>
      <c r="I44" s="10"/>
      <c r="J44" s="1" t="s">
        <v>13</v>
      </c>
      <c r="K44" s="24">
        <v>5</v>
      </c>
      <c r="L44" s="10"/>
      <c r="M44" s="98"/>
      <c r="N44" s="98"/>
      <c r="O44" s="98"/>
      <c r="P44" s="80"/>
      <c r="Q44" s="76"/>
      <c r="R44" s="81"/>
    </row>
    <row r="45" spans="1:18" ht="30">
      <c r="A45" s="72"/>
      <c r="B45" s="22"/>
      <c r="C45" s="23"/>
      <c r="D45" s="88" t="s">
        <v>14</v>
      </c>
      <c r="E45" s="4">
        <f>(83+35)*1.05^4*N42</f>
        <v>13338.965587499999</v>
      </c>
      <c r="F45" s="10"/>
      <c r="G45" s="1" t="s">
        <v>15</v>
      </c>
      <c r="H45" s="8">
        <f>36300*K42</f>
        <v>254100</v>
      </c>
      <c r="I45" s="10"/>
      <c r="J45" s="1" t="s">
        <v>16</v>
      </c>
      <c r="K45" s="24">
        <v>4</v>
      </c>
      <c r="L45" s="10"/>
      <c r="M45" s="98"/>
      <c r="N45" s="98"/>
      <c r="O45" s="98"/>
      <c r="P45" s="80"/>
      <c r="Q45" s="76"/>
      <c r="R45" s="81"/>
    </row>
    <row r="46" spans="1:18">
      <c r="A46" s="42"/>
      <c r="B46" s="7"/>
      <c r="C46" s="11"/>
      <c r="D46" s="89"/>
      <c r="E46" s="10"/>
      <c r="F46" s="10"/>
      <c r="G46" s="10"/>
      <c r="H46" s="10"/>
      <c r="I46" s="10"/>
      <c r="J46" s="96"/>
      <c r="K46" s="10"/>
      <c r="L46" s="10"/>
      <c r="M46" s="10"/>
      <c r="N46" s="10"/>
      <c r="O46" s="10"/>
      <c r="P46" s="80"/>
      <c r="Q46" s="76"/>
      <c r="R46" s="81"/>
    </row>
    <row r="47" spans="1:18" ht="60">
      <c r="A47" s="43" t="s">
        <v>17</v>
      </c>
      <c r="B47" s="5"/>
      <c r="C47" s="75" t="s">
        <v>18</v>
      </c>
      <c r="D47" s="88" t="s">
        <v>19</v>
      </c>
      <c r="E47" s="1" t="s">
        <v>20</v>
      </c>
      <c r="F47" s="1" t="s">
        <v>21</v>
      </c>
      <c r="G47" s="1" t="s">
        <v>22</v>
      </c>
      <c r="H47" s="6" t="s">
        <v>23</v>
      </c>
      <c r="I47" s="1" t="s">
        <v>24</v>
      </c>
      <c r="J47" s="1" t="s">
        <v>25</v>
      </c>
      <c r="K47" s="1" t="s">
        <v>26</v>
      </c>
      <c r="L47" s="1" t="s">
        <v>27</v>
      </c>
      <c r="M47" s="1" t="s">
        <v>28</v>
      </c>
      <c r="N47" s="1" t="s">
        <v>29</v>
      </c>
      <c r="O47" s="75" t="s">
        <v>30</v>
      </c>
      <c r="P47" s="86" t="s">
        <v>31</v>
      </c>
      <c r="Q47" s="5" t="s">
        <v>32</v>
      </c>
      <c r="R47" s="90" t="s">
        <v>33</v>
      </c>
    </row>
    <row r="48" spans="1:18">
      <c r="A48" s="42" t="s">
        <v>34</v>
      </c>
      <c r="B48" s="12" t="s">
        <v>35</v>
      </c>
      <c r="C48" s="96">
        <f>0.21*E45</f>
        <v>2801.1827733749997</v>
      </c>
      <c r="D48" s="91">
        <v>457</v>
      </c>
      <c r="E48" s="13">
        <f>(E42+E43+E44+H42+H43+H44+H45)/E45</f>
        <v>113.67448173199661</v>
      </c>
      <c r="F48" s="14">
        <f>SUM(D48:E48)</f>
        <v>570.67448173199659</v>
      </c>
      <c r="G48" s="14">
        <v>1384</v>
      </c>
      <c r="H48" s="15">
        <v>125</v>
      </c>
      <c r="I48" s="14">
        <f>((H48/100)*F48)+F48</f>
        <v>1284.0175838969924</v>
      </c>
      <c r="J48" s="16" t="str">
        <f>IF(K48&gt;G48,"Yes","No")</f>
        <v>No</v>
      </c>
      <c r="K48" s="17">
        <v>1379</v>
      </c>
      <c r="L48" s="18">
        <f>K48-F48</f>
        <v>808.32551826800341</v>
      </c>
      <c r="M48" s="14">
        <v>200</v>
      </c>
      <c r="N48" s="19">
        <f>((L48-M48)/K48)</f>
        <v>0.44113525617694227</v>
      </c>
      <c r="O48" s="14">
        <f>K48-M48</f>
        <v>1179</v>
      </c>
      <c r="P48" s="80">
        <f>C48*K48</f>
        <v>3862831.0444841245</v>
      </c>
      <c r="Q48" s="82">
        <f>M48*C48</f>
        <v>560236.5546749999</v>
      </c>
      <c r="R48" s="83">
        <f>C48*D48</f>
        <v>1280140.5274323749</v>
      </c>
    </row>
    <row r="49" spans="1:18">
      <c r="A49" s="42" t="s">
        <v>36</v>
      </c>
      <c r="B49" s="12" t="s">
        <v>37</v>
      </c>
      <c r="C49" s="96">
        <f>0.18*E45</f>
        <v>2401.0138057499998</v>
      </c>
      <c r="D49" s="91">
        <v>410</v>
      </c>
      <c r="E49" s="20">
        <f>$E$48</f>
        <v>113.67448173199661</v>
      </c>
      <c r="F49" s="14">
        <f t="shared" ref="F49:F54" si="38">SUM(D49:E49)</f>
        <v>523.67448173199659</v>
      </c>
      <c r="G49" s="14">
        <v>1149</v>
      </c>
      <c r="H49" s="15">
        <v>125</v>
      </c>
      <c r="I49" s="14">
        <f t="shared" ref="I49:I54" si="39">((H49/100)*F49)+F49</f>
        <v>1178.2675838969924</v>
      </c>
      <c r="J49" s="16" t="str">
        <f>IF(K49&gt;G49,"Yes","No")</f>
        <v>No</v>
      </c>
      <c r="K49" s="17">
        <v>1139</v>
      </c>
      <c r="L49" s="18">
        <f>K49-F49</f>
        <v>615.32551826800341</v>
      </c>
      <c r="M49" s="14">
        <v>150</v>
      </c>
      <c r="N49" s="19">
        <f t="shared" ref="N49:N54" si="40">((L49-M49)/K49)</f>
        <v>0.4085386464161575</v>
      </c>
      <c r="O49" s="14">
        <f>K49-M49</f>
        <v>989</v>
      </c>
      <c r="P49" s="80">
        <f>C49*K49</f>
        <v>2734754.7247492499</v>
      </c>
      <c r="Q49" s="82">
        <f>M49*C49</f>
        <v>360152.0708625</v>
      </c>
      <c r="R49" s="83">
        <f t="shared" ref="R49:R53" si="41">C49*D49</f>
        <v>984415.66035749996</v>
      </c>
    </row>
    <row r="50" spans="1:18">
      <c r="A50" s="42" t="s">
        <v>38</v>
      </c>
      <c r="B50" s="12" t="s">
        <v>39</v>
      </c>
      <c r="C50" s="96">
        <f>0.15*E45</f>
        <v>2000.8448381249998</v>
      </c>
      <c r="D50" s="91">
        <v>280</v>
      </c>
      <c r="E50" s="20">
        <f t="shared" ref="E50:E54" si="42">$E$48</f>
        <v>113.67448173199661</v>
      </c>
      <c r="F50" s="14">
        <f t="shared" si="38"/>
        <v>393.67448173199659</v>
      </c>
      <c r="G50" s="14">
        <v>933</v>
      </c>
      <c r="H50" s="15">
        <v>125</v>
      </c>
      <c r="I50" s="14">
        <f t="shared" si="39"/>
        <v>885.76758389699239</v>
      </c>
      <c r="J50" s="16" t="str">
        <f>IF(K50&gt;G50,"Yes","No")</f>
        <v>No</v>
      </c>
      <c r="K50" s="17">
        <v>929</v>
      </c>
      <c r="L50" s="18">
        <f>K50-F50</f>
        <v>535.32551826800341</v>
      </c>
      <c r="M50" s="14">
        <v>140</v>
      </c>
      <c r="N50" s="19">
        <f t="shared" si="40"/>
        <v>0.42553877100969151</v>
      </c>
      <c r="O50" s="14">
        <f>K50-M50</f>
        <v>789</v>
      </c>
      <c r="P50" s="80">
        <f>C50*K50</f>
        <v>1858784.8546181249</v>
      </c>
      <c r="Q50" s="82">
        <f>M50*C50</f>
        <v>280118.27733749995</v>
      </c>
      <c r="R50" s="83">
        <f t="shared" si="41"/>
        <v>560236.5546749999</v>
      </c>
    </row>
    <row r="51" spans="1:18">
      <c r="A51" s="42" t="s">
        <v>38</v>
      </c>
      <c r="B51" s="12" t="s">
        <v>40</v>
      </c>
      <c r="C51" s="96">
        <f>0.1*E45</f>
        <v>1333.8965587499999</v>
      </c>
      <c r="D51" s="91">
        <v>287</v>
      </c>
      <c r="E51" s="20">
        <f t="shared" si="42"/>
        <v>113.67448173199661</v>
      </c>
      <c r="F51" s="14">
        <f t="shared" si="38"/>
        <v>400.67448173199659</v>
      </c>
      <c r="G51" s="14">
        <v>933</v>
      </c>
      <c r="H51" s="15">
        <v>100</v>
      </c>
      <c r="I51" s="14">
        <f t="shared" si="39"/>
        <v>801.34896346399319</v>
      </c>
      <c r="J51" s="16" t="str">
        <f>IF(K51&gt;G51,"Yes","No")</f>
        <v>No</v>
      </c>
      <c r="K51" s="17">
        <v>799</v>
      </c>
      <c r="L51" s="18">
        <f>K51-F51</f>
        <v>398.32551826800341</v>
      </c>
      <c r="M51" s="14">
        <v>100</v>
      </c>
      <c r="N51" s="19">
        <f t="shared" si="40"/>
        <v>0.37337361485357123</v>
      </c>
      <c r="O51" s="14">
        <f>K51-M51</f>
        <v>699</v>
      </c>
      <c r="P51" s="80">
        <f>C51*K51</f>
        <v>1065783.35044125</v>
      </c>
      <c r="Q51" s="80">
        <f>M51*C51</f>
        <v>133389.655875</v>
      </c>
      <c r="R51" s="83">
        <f t="shared" si="41"/>
        <v>382828.31236124999</v>
      </c>
    </row>
    <row r="52" spans="1:18">
      <c r="A52" s="42" t="s">
        <v>41</v>
      </c>
      <c r="B52" s="12" t="s">
        <v>42</v>
      </c>
      <c r="C52" s="96">
        <f>0.14*E45-100</f>
        <v>1767.45518225</v>
      </c>
      <c r="D52" s="91">
        <v>248</v>
      </c>
      <c r="E52" s="20">
        <f t="shared" si="42"/>
        <v>113.67448173199661</v>
      </c>
      <c r="F52" s="14">
        <f t="shared" si="38"/>
        <v>361.67448173199659</v>
      </c>
      <c r="G52" s="14">
        <v>731</v>
      </c>
      <c r="H52" s="15">
        <v>100</v>
      </c>
      <c r="I52" s="14">
        <f t="shared" si="39"/>
        <v>723.34896346399319</v>
      </c>
      <c r="J52" s="16" t="str">
        <f>IF(K52&gt;G52,"Yes","No")</f>
        <v>No</v>
      </c>
      <c r="K52" s="17">
        <v>699</v>
      </c>
      <c r="L52" s="18">
        <f>K52-F52</f>
        <v>337.32551826800341</v>
      </c>
      <c r="M52" s="14">
        <v>100</v>
      </c>
      <c r="N52" s="19">
        <f t="shared" si="40"/>
        <v>0.33952148536195054</v>
      </c>
      <c r="O52" s="14">
        <f>K52-M52</f>
        <v>599</v>
      </c>
      <c r="P52" s="80">
        <f>C52*K52</f>
        <v>1235451.1723927499</v>
      </c>
      <c r="Q52" s="80">
        <f>M52*C52</f>
        <v>176745.51822500001</v>
      </c>
      <c r="R52" s="83">
        <f t="shared" si="41"/>
        <v>438328.885198</v>
      </c>
    </row>
    <row r="53" spans="1:18">
      <c r="A53" s="42" t="s">
        <v>41</v>
      </c>
      <c r="B53" s="12" t="s">
        <v>50</v>
      </c>
      <c r="C53" s="96">
        <f>0.1*E45-100</f>
        <v>1233.8965587499999</v>
      </c>
      <c r="D53" s="91">
        <v>248</v>
      </c>
      <c r="E53" s="20">
        <f t="shared" si="42"/>
        <v>113.67448173199661</v>
      </c>
      <c r="F53" s="14">
        <f t="shared" si="38"/>
        <v>361.67448173199659</v>
      </c>
      <c r="G53" s="14">
        <v>731</v>
      </c>
      <c r="H53" s="15">
        <v>100</v>
      </c>
      <c r="I53" s="14">
        <f t="shared" si="39"/>
        <v>723.34896346399319</v>
      </c>
      <c r="J53" s="16" t="str">
        <f>IF(K53&gt;G53,"Yes","No")</f>
        <v>No</v>
      </c>
      <c r="K53" s="17">
        <v>679</v>
      </c>
      <c r="L53" s="18">
        <f>K53-F53</f>
        <v>317.32551826800341</v>
      </c>
      <c r="M53" s="14">
        <v>75</v>
      </c>
      <c r="N53" s="19">
        <f t="shared" si="40"/>
        <v>0.35688588846539532</v>
      </c>
      <c r="O53" s="14">
        <f>K53-M53</f>
        <v>604</v>
      </c>
      <c r="P53" s="80">
        <f>C53*K53</f>
        <v>837815.76339124993</v>
      </c>
      <c r="Q53" s="80">
        <f>M53*C53</f>
        <v>92542.241906249998</v>
      </c>
      <c r="R53" s="83">
        <f t="shared" si="41"/>
        <v>306006.34656999999</v>
      </c>
    </row>
    <row r="54" spans="1:18">
      <c r="A54" s="44" t="s">
        <v>43</v>
      </c>
      <c r="B54" s="45" t="s">
        <v>44</v>
      </c>
      <c r="C54" s="46">
        <f>0.13*E45-100</f>
        <v>1634.065526375</v>
      </c>
      <c r="D54" s="92">
        <v>212</v>
      </c>
      <c r="E54" s="47">
        <f t="shared" si="42"/>
        <v>113.67448173199661</v>
      </c>
      <c r="F54" s="48">
        <f t="shared" si="38"/>
        <v>325.67448173199659</v>
      </c>
      <c r="G54" s="48">
        <v>681</v>
      </c>
      <c r="H54" s="49">
        <v>100</v>
      </c>
      <c r="I54" s="48">
        <f t="shared" si="39"/>
        <v>651.34896346399319</v>
      </c>
      <c r="J54" s="50" t="str">
        <f>IF(K54&gt;G54,"Yes","No")</f>
        <v>No</v>
      </c>
      <c r="K54" s="51">
        <v>679</v>
      </c>
      <c r="L54" s="52">
        <f>K54-F54</f>
        <v>353.32551826800341</v>
      </c>
      <c r="M54" s="48">
        <v>75</v>
      </c>
      <c r="N54" s="53">
        <f t="shared" si="40"/>
        <v>0.40990503426804625</v>
      </c>
      <c r="O54" s="48">
        <f>K54-M54</f>
        <v>604</v>
      </c>
      <c r="P54" s="84">
        <f>C54*K54</f>
        <v>1109530.4924086251</v>
      </c>
      <c r="Q54" s="84">
        <f>M54*C54</f>
        <v>122554.91447812499</v>
      </c>
      <c r="R54" s="85">
        <f t="shared" ref="R54" si="43">C54*D54</f>
        <v>346421.89159150003</v>
      </c>
    </row>
    <row r="55" spans="1:18">
      <c r="P55" s="73">
        <f>SUM(P48:P54)</f>
        <v>12704951.402485374</v>
      </c>
      <c r="Q55" s="73">
        <f t="shared" ref="Q55:R55" si="44">SUM(Q48:Q54)</f>
        <v>1725739.2333593748</v>
      </c>
      <c r="R55" s="73">
        <f t="shared" si="44"/>
        <v>4298378.178185625</v>
      </c>
    </row>
    <row r="56" spans="1:18">
      <c r="A56" s="11"/>
      <c r="B56" s="11"/>
      <c r="C56" s="11"/>
      <c r="D56" s="67"/>
      <c r="E56" s="67"/>
      <c r="F56" s="67"/>
    </row>
    <row r="57" spans="1:18">
      <c r="A57" s="11"/>
      <c r="B57" s="74"/>
      <c r="C57" s="74"/>
      <c r="D57" s="74"/>
      <c r="E57" s="74"/>
      <c r="F57" s="74"/>
    </row>
    <row r="58" spans="1:18">
      <c r="A58" s="68"/>
      <c r="B58" s="94"/>
      <c r="C58" s="94"/>
      <c r="D58" s="93"/>
      <c r="E58" s="93"/>
      <c r="F58" s="93"/>
      <c r="G58" s="35"/>
      <c r="H58" s="35"/>
    </row>
    <row r="59" spans="1:18">
      <c r="A59" s="68"/>
      <c r="B59" s="93"/>
      <c r="C59" s="93"/>
      <c r="D59" s="94"/>
      <c r="E59" s="93"/>
      <c r="F59" s="94"/>
      <c r="G59" s="36"/>
      <c r="H59" s="34"/>
    </row>
    <row r="60" spans="1:18">
      <c r="A60" s="68"/>
      <c r="B60" s="93"/>
      <c r="C60" s="93"/>
      <c r="D60" s="93"/>
      <c r="E60" s="94"/>
      <c r="F60" s="93"/>
      <c r="G60" s="36"/>
      <c r="H60" s="34"/>
    </row>
    <row r="61" spans="1:18">
      <c r="A61" s="68"/>
      <c r="B61" s="93"/>
      <c r="C61" s="93"/>
      <c r="D61" s="93"/>
      <c r="E61" s="93"/>
      <c r="F61" s="93"/>
      <c r="G61" s="36"/>
      <c r="H61" s="34"/>
    </row>
    <row r="62" spans="1:18">
      <c r="B62" s="93"/>
      <c r="C62" s="93"/>
      <c r="D62" s="93"/>
      <c r="E62" s="93"/>
      <c r="F62" s="93"/>
      <c r="G62" s="36"/>
      <c r="H62" s="34"/>
    </row>
    <row r="63" spans="1:18">
      <c r="B63" s="93"/>
      <c r="C63" s="93"/>
      <c r="D63" s="93"/>
      <c r="E63" s="93"/>
      <c r="F63" s="93"/>
      <c r="G63" s="36"/>
      <c r="H63" s="34"/>
    </row>
    <row r="64" spans="1:18">
      <c r="B64" s="68"/>
      <c r="C64" s="68"/>
      <c r="D64" s="68"/>
      <c r="E64" s="93"/>
      <c r="F64" s="68"/>
      <c r="G64" s="36"/>
      <c r="H64" s="34"/>
    </row>
    <row r="65" spans="2:8">
      <c r="B65" s="68"/>
      <c r="C65" s="68"/>
      <c r="D65" s="68"/>
      <c r="E65" s="68"/>
      <c r="F65" s="68"/>
      <c r="H65" s="34"/>
    </row>
  </sheetData>
  <mergeCells count="4">
    <mergeCell ref="M3:O5"/>
    <mergeCell ref="M16:O18"/>
    <mergeCell ref="M29:O31"/>
    <mergeCell ref="M43:O45"/>
  </mergeCells>
  <pageMargins left="0.7" right="0.7" top="0.75" bottom="0.75" header="0.3" footer="0.3"/>
  <pageSetup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Mancuso</cp:lastModifiedBy>
  <cp:revision/>
  <dcterms:created xsi:type="dcterms:W3CDTF">2018-11-08T05:02:02Z</dcterms:created>
  <dcterms:modified xsi:type="dcterms:W3CDTF">2018-11-08T20:13:33Z</dcterms:modified>
  <cp:category/>
  <cp:contentStatus/>
</cp:coreProperties>
</file>